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60" windowWidth="10755" windowHeight="12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<sst xmlns="http://schemas.openxmlformats.org/spreadsheetml/2006/main" count="180" uniqueCount="144">
  <si>
    <t>Cost of freeway per mile</t>
  </si>
  <si>
    <t>Residents</t>
  </si>
  <si>
    <t>assume:</t>
  </si>
  <si>
    <t>ideal predictions:</t>
  </si>
  <si>
    <t>Jobs</t>
  </si>
  <si>
    <t>Non-SF jobs</t>
  </si>
  <si>
    <t>SFers working elsewhere</t>
  </si>
  <si>
    <t>daytime population</t>
  </si>
  <si>
    <t>Commute - carpool</t>
  </si>
  <si>
    <t>Commute - public</t>
  </si>
  <si>
    <t>Taxi fare / mile</t>
  </si>
  <si>
    <t>Parking supply (spaces)</t>
  </si>
  <si>
    <t>Parking ticket revenue</t>
  </si>
  <si>
    <t>Parking control officers</t>
  </si>
  <si>
    <t>Average car speed (mph)</t>
  </si>
  <si>
    <t>Average SkyTran speed</t>
  </si>
  <si>
    <t>San Francisco:</t>
  </si>
  <si>
    <t>ASSUMPTIONS:</t>
  </si>
  <si>
    <t>Car insurance</t>
  </si>
  <si>
    <t>Car maintenance</t>
  </si>
  <si>
    <t>Licenses, parking, and other</t>
  </si>
  <si>
    <t>Total</t>
  </si>
  <si>
    <t>Average annual mileage per person</t>
  </si>
  <si>
    <t>Gas costs</t>
  </si>
  <si>
    <t>Renting or buying a car every so often</t>
  </si>
  <si>
    <t>SkyTran info</t>
  </si>
  <si>
    <t>Land area (square miles)</t>
  </si>
  <si>
    <t>(SF mi^2)^(1/2)</t>
  </si>
  <si>
    <t>Maximum trip miles</t>
  </si>
  <si>
    <t>Cost per pod</t>
  </si>
  <si>
    <t>Hypothetical system info</t>
  </si>
  <si>
    <t>Number of pods</t>
  </si>
  <si>
    <t>SF street repair costs</t>
  </si>
  <si>
    <t>SF street use management costs</t>
  </si>
  <si>
    <t>SF traffic and parking enforcement cost</t>
  </si>
  <si>
    <t>Public transit costs</t>
  </si>
  <si>
    <t>Realism Multipliers - numbers that scale down full amounts to make the predictions more realistic</t>
  </si>
  <si>
    <t>Public parking revenue</t>
  </si>
  <si>
    <t>Percent of visitors expected to use SkyTran</t>
  </si>
  <si>
    <t>Percent of street space eventually condensed (used for other things)</t>
  </si>
  <si>
    <t>Percent of cars sold because of SkyTran</t>
  </si>
  <si>
    <t>Percent of cars per visitor</t>
  </si>
  <si>
    <t>Percent of the day visitors spend in SF</t>
  </si>
  <si>
    <t>Accident injury costs</t>
  </si>
  <si>
    <t>Cost of using cars per year (average):</t>
  </si>
  <si>
    <t>Looking only at costs and revenues - "bare bones predictions"</t>
  </si>
  <si>
    <t>orange means calculated (check the formula bar for that cell)</t>
  </si>
  <si>
    <t>Miles of guideway = number of portals</t>
  </si>
  <si>
    <t>16</t>
  </si>
  <si>
    <t>Average miles per trip (a little less than calculated)</t>
  </si>
  <si>
    <t>(96 portals)^2 = 9604 total possibilities</t>
  </si>
  <si>
    <t>possibilities</t>
  </si>
  <si>
    <t>NOT IMPORTANT &gt; Incomplete Table of miles from destination vs probability (helped me understand the average miles per trip)</t>
  </si>
  <si>
    <t>Average daily users of the system</t>
  </si>
  <si>
    <t>SkyTran building costs</t>
  </si>
  <si>
    <t>SkyTran revenue</t>
  </si>
  <si>
    <t>Skytran fee per mile (in dollars)</t>
  </si>
  <si>
    <r>
      <t xml:space="preserve">      </t>
    </r>
    <r>
      <rPr>
        <sz val="10"/>
        <color indexed="23"/>
        <rFont val="Arial"/>
        <family val="2"/>
      </rPr>
      <t>at half the going taxi rates</t>
    </r>
  </si>
  <si>
    <t>SkyTran expenses</t>
  </si>
  <si>
    <t>Electricity cost per mile (in dollars)</t>
  </si>
  <si>
    <t>Total city benefit per year</t>
  </si>
  <si>
    <t xml:space="preserve">      at half the going taxi rates</t>
  </si>
  <si>
    <t>Looking at full benefit</t>
  </si>
  <si>
    <t xml:space="preserve"> </t>
  </si>
  <si>
    <t xml:space="preserve">        PER YEAR:</t>
  </si>
  <si>
    <t xml:space="preserve">    PUBLIC BENEFITS:</t>
  </si>
  <si>
    <t>Money saved on road maintenance</t>
  </si>
  <si>
    <t>Money saved on traffic and parking enforcement</t>
  </si>
  <si>
    <t>Money saved on other mass transit</t>
  </si>
  <si>
    <t>Percent of road costs and enforcement not needed after SkyTran is built</t>
  </si>
  <si>
    <t>Parking meter revenue</t>
  </si>
  <si>
    <t>Parking lots and garage revenue</t>
  </si>
  <si>
    <t>Permit parking revenue</t>
  </si>
  <si>
    <t>Lost public parking revenue and ticket revenue</t>
  </si>
  <si>
    <t xml:space="preserve">         ONE TIME BENEFITS:</t>
  </si>
  <si>
    <t>Eventual street condensation</t>
  </si>
  <si>
    <t>Total one-time city benefit</t>
  </si>
  <si>
    <t>Cost of land (dollars per sq. foot)</t>
  </si>
  <si>
    <r>
      <t xml:space="preserve">      at half the going taxi rates (in </t>
    </r>
    <r>
      <rPr>
        <sz val="10"/>
        <color indexed="16"/>
        <rFont val="Arial"/>
        <family val="2"/>
      </rPr>
      <t>months</t>
    </r>
    <r>
      <rPr>
        <sz val="10"/>
        <color indexed="23"/>
        <rFont val="Arial"/>
        <family val="2"/>
      </rPr>
      <t>)</t>
    </r>
  </si>
  <si>
    <r>
      <t xml:space="preserve">      at half the going taxi rates (in </t>
    </r>
    <r>
      <rPr>
        <sz val="10"/>
        <color indexed="16"/>
        <rFont val="Arial"/>
        <family val="2"/>
      </rPr>
      <t>percent</t>
    </r>
    <r>
      <rPr>
        <sz val="10"/>
        <color indexed="23"/>
        <rFont val="Arial"/>
        <family val="2"/>
      </rPr>
      <t>)</t>
    </r>
  </si>
  <si>
    <r>
      <t>Return to investment per year (in</t>
    </r>
    <r>
      <rPr>
        <b/>
        <sz val="10"/>
        <color indexed="10"/>
        <rFont val="Arial"/>
        <family val="2"/>
      </rPr>
      <t xml:space="preserve"> percent</t>
    </r>
    <r>
      <rPr>
        <b/>
        <sz val="10"/>
        <color indexed="17"/>
        <rFont val="Arial"/>
        <family val="2"/>
      </rPr>
      <t>)</t>
    </r>
  </si>
  <si>
    <r>
      <t xml:space="preserve">Return to investment per year (in </t>
    </r>
    <r>
      <rPr>
        <b/>
        <sz val="10"/>
        <color indexed="10"/>
        <rFont val="Arial"/>
        <family val="2"/>
      </rPr>
      <t>percent</t>
    </r>
    <r>
      <rPr>
        <b/>
        <sz val="10"/>
        <color indexed="17"/>
        <rFont val="Arial"/>
        <family val="2"/>
      </rPr>
      <t>)</t>
    </r>
  </si>
  <si>
    <r>
      <t xml:space="preserve">Would pay off in (in </t>
    </r>
    <r>
      <rPr>
        <b/>
        <sz val="10"/>
        <color indexed="10"/>
        <rFont val="Arial"/>
        <family val="2"/>
      </rPr>
      <t>years</t>
    </r>
    <r>
      <rPr>
        <b/>
        <sz val="10"/>
        <color indexed="17"/>
        <rFont val="Arial"/>
        <family val="2"/>
      </rPr>
      <t>)</t>
    </r>
  </si>
  <si>
    <r>
      <t xml:space="preserve">Would pay off in (in </t>
    </r>
    <r>
      <rPr>
        <b/>
        <sz val="10"/>
        <color indexed="10"/>
        <rFont val="Arial"/>
        <family val="2"/>
      </rPr>
      <t>months</t>
    </r>
    <r>
      <rPr>
        <b/>
        <sz val="10"/>
        <color indexed="17"/>
        <rFont val="Arial"/>
        <family val="2"/>
      </rPr>
      <t>)</t>
    </r>
  </si>
  <si>
    <t>Citywide car savings</t>
  </si>
  <si>
    <t>Skytran riding cost</t>
  </si>
  <si>
    <t>Total private benefit per year</t>
  </si>
  <si>
    <t xml:space="preserve">    PRIVATE BENEFITS:</t>
  </si>
  <si>
    <t>Parking lot land value</t>
  </si>
  <si>
    <t>Car sales (from people who don't need them now)</t>
  </si>
  <si>
    <t>Parking space size (in sq. feet)</t>
  </si>
  <si>
    <t>Average selling price of used cars (in dollars)</t>
  </si>
  <si>
    <t>Total private one-time benefit</t>
  </si>
  <si>
    <t xml:space="preserve">    PERSONAL BENEFITS:</t>
  </si>
  <si>
    <t xml:space="preserve">         PER YEAR:</t>
  </si>
  <si>
    <t>Total personal benefit per year</t>
  </si>
  <si>
    <t>Total personal one-time benefit</t>
  </si>
  <si>
    <t>Car sale revenue (from ex-car users)</t>
  </si>
  <si>
    <t>Looking at benefit per skytran user (average)</t>
  </si>
  <si>
    <t>Average car savings</t>
  </si>
  <si>
    <t>Gray text means that the value is not used to predict anything</t>
  </si>
  <si>
    <t>Percent of yearly mileage is used on SkyTran (by SkyTran users)</t>
  </si>
  <si>
    <t>Miles from destination</t>
  </si>
  <si>
    <t>Vehicles registered</t>
  </si>
  <si>
    <t>Commute - Drive alone or motorcycle</t>
  </si>
  <si>
    <t>Percent of non-SkyTran mass transit cost dissolved</t>
  </si>
  <si>
    <t>Average Percent of SF population expected to use SkyTran per day</t>
  </si>
  <si>
    <t>Acceleration and maintenance cost</t>
  </si>
  <si>
    <t>Pedestrian accident injury costs</t>
  </si>
  <si>
    <t>Average yearly miles traveled on SkyTran per person</t>
  </si>
  <si>
    <t>Money saved on accident injuries</t>
  </si>
  <si>
    <t>Skytran building costs (paid by taxes)</t>
  </si>
  <si>
    <t>Leeway for unaccounted-for variables</t>
  </si>
  <si>
    <t>Total personal benefit after 30 years</t>
  </si>
  <si>
    <r>
      <t xml:space="preserve">Personal return to investment after 30 years (in </t>
    </r>
    <r>
      <rPr>
        <b/>
        <sz val="10"/>
        <color indexed="10"/>
        <rFont val="Arial"/>
        <family val="2"/>
      </rPr>
      <t>percent</t>
    </r>
    <r>
      <rPr>
        <b/>
        <sz val="10"/>
        <rFont val="Arial"/>
        <family val="2"/>
      </rPr>
      <t>)</t>
    </r>
  </si>
  <si>
    <t>Looking at benefit per resident (average)</t>
  </si>
  <si>
    <t xml:space="preserve">    for an ex-driver</t>
  </si>
  <si>
    <r>
      <t xml:space="preserve">    for an ex-driver (in </t>
    </r>
    <r>
      <rPr>
        <b/>
        <sz val="10"/>
        <color indexed="63"/>
        <rFont val="Arial"/>
        <family val="2"/>
      </rPr>
      <t>percent</t>
    </r>
    <r>
      <rPr>
        <b/>
        <sz val="10"/>
        <color indexed="23"/>
        <rFont val="Arial"/>
        <family val="2"/>
      </rPr>
      <t>)</t>
    </r>
  </si>
  <si>
    <r>
      <t xml:space="preserve">    for an ex-driver (in </t>
    </r>
    <r>
      <rPr>
        <b/>
        <sz val="10"/>
        <color indexed="10"/>
        <rFont val="Arial"/>
        <family val="2"/>
      </rPr>
      <t>days</t>
    </r>
    <r>
      <rPr>
        <b/>
        <sz val="10"/>
        <color indexed="23"/>
        <rFont val="Arial"/>
        <family val="2"/>
      </rPr>
      <t>)</t>
    </r>
  </si>
  <si>
    <t>Average time spent on the road (in hours)</t>
  </si>
  <si>
    <t>Return to investment per year (in percent)</t>
  </si>
  <si>
    <t>Would pay off in (in years)</t>
  </si>
  <si>
    <t>Citywide benefit after 30 years (in millions)</t>
  </si>
  <si>
    <t>Citywide return to investment after 30 years (in percent)</t>
  </si>
  <si>
    <t xml:space="preserve">    NON-MONETARY BENEFITS:</t>
  </si>
  <si>
    <r>
      <t xml:space="preserve">Would pay off in (in </t>
    </r>
    <r>
      <rPr>
        <b/>
        <sz val="10"/>
        <color indexed="10"/>
        <rFont val="Arial"/>
        <family val="2"/>
      </rPr>
      <t>months</t>
    </r>
    <r>
      <rPr>
        <b/>
        <sz val="10"/>
        <color indexed="63"/>
        <rFont val="Arial"/>
        <family val="2"/>
      </rPr>
      <t>)</t>
    </r>
  </si>
  <si>
    <r>
      <t xml:space="preserve">Return to investment per year (in </t>
    </r>
    <r>
      <rPr>
        <b/>
        <sz val="10"/>
        <color indexed="10"/>
        <rFont val="Arial"/>
        <family val="2"/>
      </rPr>
      <t>percent</t>
    </r>
    <r>
      <rPr>
        <b/>
        <sz val="10"/>
        <color indexed="63"/>
        <rFont val="Arial"/>
        <family val="2"/>
      </rPr>
      <t>)</t>
    </r>
  </si>
  <si>
    <t>Citywide benefit per year</t>
  </si>
  <si>
    <t>Saved time (in hours) per year</t>
  </si>
  <si>
    <t>Saved time (in man-hours) per year</t>
  </si>
  <si>
    <t>Citywide one-time benefit</t>
  </si>
  <si>
    <t>Saved time (in man-hours) after 30 years</t>
  </si>
  <si>
    <t>Average distance to portal (in miles)</t>
  </si>
  <si>
    <t>average walking speed (mph)</t>
  </si>
  <si>
    <t>non-energy cost per mile (in cents)</t>
  </si>
  <si>
    <t>Guideway cost per bi-directional mile</t>
  </si>
  <si>
    <t xml:space="preserve">       Percent of population</t>
  </si>
  <si>
    <t>Total street area (square feet)</t>
  </si>
  <si>
    <t>number of portals</t>
  </si>
  <si>
    <t>Hourly system throughput capacity (based on # of pods and miles of guideway)</t>
  </si>
  <si>
    <t>Hourly system ingress/egress capacity (based on portals)</t>
  </si>
  <si>
    <t>Minimum system hourly capacity</t>
  </si>
  <si>
    <t>Cost per portal</t>
  </si>
  <si>
    <t>Average ingress/egress time (vehicles per minutee)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</si>
</sst>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7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0" xfId="0" applyFill="1" applyAlignment="1" quotePrefix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4" borderId="9" xfId="0" applyFont="1" applyFill="1" applyBorder="1" applyAlignment="1">
      <alignment/>
    </xf>
    <xf numFmtId="0" fontId="0" fillId="4" borderId="0" xfId="0" applyFill="1" applyBorder="1" applyAlignment="1">
      <alignment/>
    </xf>
    <xf numFmtId="0" fontId="10" fillId="0" borderId="9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9" fillId="5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6" fillId="4" borderId="0" xfId="0" applyFont="1" applyFill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1" fillId="2" borderId="9" xfId="0" applyFont="1" applyFill="1" applyBorder="1" applyAlignment="1">
      <alignment/>
    </xf>
    <xf numFmtId="0" fontId="11" fillId="6" borderId="9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2" borderId="8" xfId="0" applyNumberFormat="1" applyFill="1" applyBorder="1" applyAlignment="1">
      <alignment/>
    </xf>
    <xf numFmtId="0" fontId="11" fillId="0" borderId="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3" fillId="6" borderId="9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11" fillId="6" borderId="8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3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6" xfId="0" applyNumberFormat="1" applyFont="1" applyBorder="1" applyAlignment="1">
      <alignment/>
    </xf>
    <xf numFmtId="0" fontId="11" fillId="4" borderId="15" xfId="0" applyFont="1" applyFill="1" applyBorder="1" applyAlignment="1">
      <alignment/>
    </xf>
    <xf numFmtId="3" fontId="12" fillId="4" borderId="16" xfId="0" applyNumberFormat="1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12" fillId="4" borderId="18" xfId="0" applyFont="1" applyFill="1" applyBorder="1" applyAlignment="1">
      <alignment/>
    </xf>
    <xf numFmtId="3" fontId="12" fillId="4" borderId="18" xfId="0" applyNumberFormat="1" applyFont="1" applyFill="1" applyBorder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">
      <selection activeCell="A72" sqref="A72"/>
    </sheetView>
  </sheetViews>
  <sheetFormatPr defaultColWidth="9.140625" defaultRowHeight="12.75"/>
  <cols>
    <col min="1" max="1" width="42.57421875" style="0" customWidth="1"/>
    <col min="2" max="2" width="15.421875" style="0" customWidth="1"/>
    <col min="3" max="3" width="15.00390625" style="0" customWidth="1"/>
    <col min="4" max="4" width="15.28125" style="0" customWidth="1"/>
    <col min="5" max="5" width="61.00390625" style="0" customWidth="1"/>
    <col min="6" max="6" width="13.8515625" style="0" customWidth="1"/>
    <col min="7" max="7" width="16.421875" style="0" customWidth="1"/>
  </cols>
  <sheetData>
    <row r="1" spans="1:10" ht="13.5" thickBot="1">
      <c r="A1" s="31"/>
      <c r="B1" s="32"/>
      <c r="C1" s="33"/>
      <c r="E1" s="28" t="s">
        <v>17</v>
      </c>
      <c r="F1" s="29" t="s">
        <v>2</v>
      </c>
      <c r="G1" s="30" t="s">
        <v>3</v>
      </c>
      <c r="J1" s="6" t="s">
        <v>52</v>
      </c>
    </row>
    <row r="2" spans="1:11" ht="13.5" thickBot="1">
      <c r="A2" s="26" t="s">
        <v>45</v>
      </c>
      <c r="B2" s="27"/>
      <c r="C2" s="34"/>
      <c r="J2" s="2" t="s">
        <v>102</v>
      </c>
      <c r="K2" s="2" t="s">
        <v>51</v>
      </c>
    </row>
    <row r="3" spans="1:10" ht="12.75">
      <c r="A3" s="35"/>
      <c r="B3" s="36"/>
      <c r="C3" s="34"/>
      <c r="E3" s="7" t="s">
        <v>46</v>
      </c>
      <c r="J3">
        <v>1</v>
      </c>
    </row>
    <row r="4" spans="1:10" ht="12.75">
      <c r="A4" s="35" t="s">
        <v>54</v>
      </c>
      <c r="B4" s="39">
        <f>-(F74*F46+F49*F73)</f>
        <v>-160200000</v>
      </c>
      <c r="C4" s="39">
        <f>-(G74*G46+G49*G73)</f>
        <v>-139710000</v>
      </c>
      <c r="E4" s="10" t="s">
        <v>100</v>
      </c>
      <c r="J4">
        <v>2</v>
      </c>
    </row>
    <row r="5" spans="1:10" ht="12.75">
      <c r="A5" s="35" t="s">
        <v>55</v>
      </c>
      <c r="B5" s="36">
        <f>F81*F82*F83</f>
        <v>79850686.825</v>
      </c>
      <c r="C5" s="36">
        <f>G81*G82*G83</f>
        <v>114072409.75</v>
      </c>
      <c r="E5" s="10"/>
      <c r="J5">
        <v>3</v>
      </c>
    </row>
    <row r="6" spans="1:10" ht="12.75">
      <c r="A6" s="35" t="s">
        <v>57</v>
      </c>
      <c r="B6" s="38">
        <f>F81*F82*F15/2</f>
        <v>898320226.78125</v>
      </c>
      <c r="C6" s="38">
        <f>G81*G82*G15/2</f>
        <v>1711086146.25</v>
      </c>
      <c r="E6" t="s">
        <v>22</v>
      </c>
      <c r="F6" s="1">
        <v>8500</v>
      </c>
      <c r="G6" s="1">
        <v>8500</v>
      </c>
      <c r="J6">
        <v>4</v>
      </c>
    </row>
    <row r="7" spans="1:10" ht="12.75">
      <c r="A7" s="35" t="s">
        <v>58</v>
      </c>
      <c r="B7" s="39">
        <f>-(F81*F82*F50+F77)</f>
        <v>-15970137.365</v>
      </c>
      <c r="C7" s="39">
        <f>-(G81*G82*G50+G77)</f>
        <v>-11407240.975</v>
      </c>
      <c r="E7" t="s">
        <v>91</v>
      </c>
      <c r="F7" s="1">
        <v>1000</v>
      </c>
      <c r="G7" s="1">
        <v>1000</v>
      </c>
      <c r="J7">
        <v>5</v>
      </c>
    </row>
    <row r="8" spans="1:11" ht="12.75">
      <c r="A8" s="40" t="s">
        <v>60</v>
      </c>
      <c r="B8" s="57">
        <f>B7+B5</f>
        <v>63880549.46</v>
      </c>
      <c r="C8" s="57">
        <f>C7+C5</f>
        <v>102665168.775</v>
      </c>
      <c r="E8" t="s">
        <v>119</v>
      </c>
      <c r="F8" s="1">
        <v>440</v>
      </c>
      <c r="G8" s="1">
        <v>440</v>
      </c>
      <c r="J8">
        <v>6</v>
      </c>
      <c r="K8">
        <f>8*(7*2+6*4+5*6+4*8+3*10+2*12+14)</f>
        <v>1344</v>
      </c>
    </row>
    <row r="9" spans="1:11" ht="12.75">
      <c r="A9" s="58" t="s">
        <v>61</v>
      </c>
      <c r="B9" s="59">
        <f>B7+B6</f>
        <v>882350089.41625</v>
      </c>
      <c r="C9" s="59">
        <f>C7+C6</f>
        <v>1699678905.275</v>
      </c>
      <c r="E9" t="s">
        <v>133</v>
      </c>
      <c r="F9" s="1">
        <v>2</v>
      </c>
      <c r="G9" s="1">
        <v>2</v>
      </c>
      <c r="J9">
        <v>7</v>
      </c>
      <c r="K9">
        <f>8*(7*2+6*4+5*6+4*8+3*10+2*12+14)</f>
        <v>1344</v>
      </c>
    </row>
    <row r="10" spans="1:11" ht="12.75">
      <c r="A10" s="40" t="s">
        <v>81</v>
      </c>
      <c r="B10" s="57">
        <f>-(B8/B4)/1%</f>
        <v>39.87549903870162</v>
      </c>
      <c r="C10" s="57">
        <f>-(C8/C4)/1%</f>
        <v>73.48448126476272</v>
      </c>
      <c r="J10">
        <v>8</v>
      </c>
      <c r="K10">
        <f>8*(6*2+5*4+4*6+3*8+2*10+12)</f>
        <v>896</v>
      </c>
    </row>
    <row r="11" spans="1:11" ht="12.75">
      <c r="A11" s="58" t="s">
        <v>79</v>
      </c>
      <c r="B11" s="36">
        <f>-(B9/B4)/1%</f>
        <v>550.7803304720662</v>
      </c>
      <c r="C11" s="36">
        <f>-(C9/C4)/1%</f>
        <v>1216.5764120499607</v>
      </c>
      <c r="E11" s="2" t="s">
        <v>16</v>
      </c>
      <c r="J11">
        <v>9</v>
      </c>
      <c r="K11">
        <f>8*(5*2+4*4+3*6+2*8+10)</f>
        <v>560</v>
      </c>
    </row>
    <row r="12" spans="1:11" ht="12.75">
      <c r="A12" s="40" t="s">
        <v>82</v>
      </c>
      <c r="B12" s="57">
        <f>1/B10%</f>
        <v>2.507805605214968</v>
      </c>
      <c r="C12" s="57">
        <f>1/C10%</f>
        <v>1.3608315426450728</v>
      </c>
      <c r="E12" s="2"/>
      <c r="J12">
        <v>10</v>
      </c>
      <c r="K12">
        <f>8*((4+1)*2+3*4+2*6+8)</f>
        <v>336</v>
      </c>
    </row>
    <row r="13" spans="1:11" ht="12.75">
      <c r="A13" s="58" t="s">
        <v>78</v>
      </c>
      <c r="B13" s="36">
        <f>1/B11%*12</f>
        <v>2.1787270416347235</v>
      </c>
      <c r="C13" s="36">
        <f>1/C11%*12</f>
        <v>0.9863745409776365</v>
      </c>
      <c r="E13" t="s">
        <v>26</v>
      </c>
      <c r="F13">
        <v>48</v>
      </c>
      <c r="G13">
        <v>47.355</v>
      </c>
      <c r="J13">
        <v>11</v>
      </c>
      <c r="K13">
        <f>8*(3*2+2*4+1*6)</f>
        <v>160</v>
      </c>
    </row>
    <row r="14" spans="1:11" ht="13.5" thickBot="1">
      <c r="A14" s="52"/>
      <c r="B14" s="53"/>
      <c r="C14" s="53"/>
      <c r="E14" s="68" t="s">
        <v>14</v>
      </c>
      <c r="F14" s="69">
        <f>F6/F8</f>
        <v>19.318181818181817</v>
      </c>
      <c r="G14" s="11">
        <v>8</v>
      </c>
      <c r="J14">
        <v>12</v>
      </c>
      <c r="K14">
        <f>8*(2*2+1*4)</f>
        <v>64</v>
      </c>
    </row>
    <row r="15" spans="1:11" ht="13.5" thickBot="1">
      <c r="A15" s="60"/>
      <c r="B15" s="61"/>
      <c r="C15" s="61"/>
      <c r="E15" s="12" t="s">
        <v>10</v>
      </c>
      <c r="F15" s="12">
        <v>2.25</v>
      </c>
      <c r="G15" s="12">
        <f>2.25+0.75</f>
        <v>3</v>
      </c>
      <c r="J15">
        <v>13</v>
      </c>
      <c r="K15" s="9" t="s">
        <v>48</v>
      </c>
    </row>
    <row r="16" spans="1:11" ht="13.5" thickBot="1">
      <c r="A16" s="55" t="s">
        <v>62</v>
      </c>
      <c r="B16" s="56"/>
      <c r="C16" s="56"/>
      <c r="E16" t="s">
        <v>1</v>
      </c>
      <c r="F16" s="1">
        <v>776733</v>
      </c>
      <c r="G16" s="1">
        <v>776733</v>
      </c>
      <c r="K16" t="s">
        <v>50</v>
      </c>
    </row>
    <row r="17" spans="1:7" ht="13.5" thickBot="1">
      <c r="A17" s="62"/>
      <c r="B17" s="63"/>
      <c r="C17" s="63"/>
      <c r="E17" s="11" t="s">
        <v>4</v>
      </c>
      <c r="F17" s="21">
        <v>628860</v>
      </c>
      <c r="G17" s="17">
        <v>628860</v>
      </c>
    </row>
    <row r="18" spans="1:7" ht="12.75">
      <c r="A18" s="87" t="s">
        <v>65</v>
      </c>
      <c r="B18" s="88"/>
      <c r="C18" s="88"/>
      <c r="E18" s="22" t="s">
        <v>5</v>
      </c>
      <c r="F18" s="23">
        <v>261181</v>
      </c>
      <c r="G18" s="19">
        <v>261181</v>
      </c>
    </row>
    <row r="19" spans="1:7" ht="12.75">
      <c r="A19" s="89" t="s">
        <v>64</v>
      </c>
      <c r="B19" s="90"/>
      <c r="C19" s="90"/>
      <c r="E19" s="10" t="s">
        <v>6</v>
      </c>
      <c r="F19" s="17">
        <v>96544</v>
      </c>
      <c r="G19" s="17">
        <v>96544</v>
      </c>
    </row>
    <row r="20" spans="1:7" ht="12.75">
      <c r="A20" s="91"/>
      <c r="B20" s="90"/>
      <c r="C20" s="90"/>
      <c r="E20" s="10" t="s">
        <v>7</v>
      </c>
      <c r="F20" s="17">
        <v>1084070</v>
      </c>
      <c r="G20" s="17">
        <v>1084070</v>
      </c>
    </row>
    <row r="21" spans="1:7" ht="12.75">
      <c r="A21" s="91" t="s">
        <v>66</v>
      </c>
      <c r="B21" s="92">
        <f>(F33+F32)*F61%</f>
        <v>13119520</v>
      </c>
      <c r="C21" s="92">
        <f>(G33+G32)*G61%</f>
        <v>32798800</v>
      </c>
      <c r="E21" s="13" t="s">
        <v>103</v>
      </c>
      <c r="F21" s="14">
        <v>453903</v>
      </c>
      <c r="G21" s="14">
        <v>453903</v>
      </c>
    </row>
    <row r="22" spans="1:7" ht="12.75">
      <c r="A22" s="91" t="s">
        <v>67</v>
      </c>
      <c r="B22" s="90">
        <f>F34*F61%</f>
        <v>36088000</v>
      </c>
      <c r="C22" s="90">
        <f>G34*G61%</f>
        <v>90220000</v>
      </c>
      <c r="E22" s="10" t="s">
        <v>104</v>
      </c>
      <c r="F22" s="10">
        <v>0.495</v>
      </c>
      <c r="G22" s="10">
        <v>0.495</v>
      </c>
    </row>
    <row r="23" spans="1:7" ht="12.75">
      <c r="A23" s="91" t="s">
        <v>68</v>
      </c>
      <c r="B23" s="90">
        <f>F35*F62%</f>
        <v>342810000</v>
      </c>
      <c r="C23" s="90">
        <f>G35*G62%</f>
        <v>380900000</v>
      </c>
      <c r="E23" t="s">
        <v>8</v>
      </c>
      <c r="F23">
        <v>0.108</v>
      </c>
      <c r="G23">
        <v>0.108</v>
      </c>
    </row>
    <row r="24" spans="1:7" ht="12.75">
      <c r="A24" s="91" t="s">
        <v>73</v>
      </c>
      <c r="B24" s="92">
        <f>-(F39+F30)*F61%</f>
        <v>-59905976.800000004</v>
      </c>
      <c r="C24" s="92">
        <f>-(G39+G30)*G61%</f>
        <v>-149764942</v>
      </c>
      <c r="E24" s="13" t="s">
        <v>9</v>
      </c>
      <c r="F24" s="13">
        <v>0.311</v>
      </c>
      <c r="G24" s="13">
        <v>0.311</v>
      </c>
    </row>
    <row r="25" spans="1:7" ht="12.75">
      <c r="A25" s="91" t="s">
        <v>55</v>
      </c>
      <c r="B25" s="90">
        <f>F81*F82*F83</f>
        <v>79850686.825</v>
      </c>
      <c r="C25" s="90">
        <f>G81*G82*G83</f>
        <v>114072409.75</v>
      </c>
      <c r="E25" t="s">
        <v>137</v>
      </c>
      <c r="F25" s="1">
        <v>195000000</v>
      </c>
      <c r="G25" s="1">
        <v>195000000</v>
      </c>
    </row>
    <row r="26" spans="1:7" ht="12.75">
      <c r="A26" s="91" t="s">
        <v>58</v>
      </c>
      <c r="B26" s="90">
        <f>-(F81*F82*F50+F77)</f>
        <v>-15970137.365</v>
      </c>
      <c r="C26" s="90">
        <f>-(G81*G82*G50+G77)</f>
        <v>-11407240.975</v>
      </c>
      <c r="E26" t="s">
        <v>77</v>
      </c>
      <c r="F26" s="1">
        <v>100</v>
      </c>
      <c r="G26" s="1">
        <v>100</v>
      </c>
    </row>
    <row r="27" spans="1:7" ht="12.75">
      <c r="A27" s="93" t="s">
        <v>60</v>
      </c>
      <c r="B27" s="94">
        <f>SUM(B21:B26)</f>
        <v>395992092.65999997</v>
      </c>
      <c r="C27" s="94">
        <f>SUM(C21:C26)</f>
        <v>456819026.775</v>
      </c>
      <c r="E27" s="18" t="s">
        <v>0</v>
      </c>
      <c r="F27" s="19">
        <v>8000000</v>
      </c>
      <c r="G27" s="19">
        <v>8000000</v>
      </c>
    </row>
    <row r="28" spans="1:7" ht="12.75">
      <c r="A28" s="93" t="s">
        <v>126</v>
      </c>
      <c r="B28" s="95">
        <f>-B27/B34/1%</f>
        <v>247.18607531835204</v>
      </c>
      <c r="C28" s="95">
        <f>-C27/C34/1%</f>
        <v>326.97661353875884</v>
      </c>
      <c r="E28" t="s">
        <v>11</v>
      </c>
      <c r="F28" s="1">
        <v>603000</v>
      </c>
      <c r="G28" s="1">
        <v>603000</v>
      </c>
    </row>
    <row r="29" spans="1:7" ht="12.75">
      <c r="A29" s="93" t="s">
        <v>125</v>
      </c>
      <c r="B29" s="96">
        <f>12/B28%</f>
        <v>4.8546423921918525</v>
      </c>
      <c r="C29" s="96">
        <f>12/C28%</f>
        <v>3.6699872416341957</v>
      </c>
      <c r="E29" t="s">
        <v>90</v>
      </c>
      <c r="F29" s="1">
        <f>(200*76)/12^2</f>
        <v>105.55555555555556</v>
      </c>
      <c r="G29" s="1">
        <f>(200*76)/12^2</f>
        <v>105.55555555555556</v>
      </c>
    </row>
    <row r="30" spans="1:7" ht="12.75">
      <c r="A30" s="91"/>
      <c r="B30" s="90"/>
      <c r="C30" s="90"/>
      <c r="E30" t="s">
        <v>12</v>
      </c>
      <c r="F30" s="1">
        <v>69264942</v>
      </c>
      <c r="G30" s="1">
        <v>69264942</v>
      </c>
    </row>
    <row r="31" spans="1:7" ht="12.75">
      <c r="A31" s="89" t="s">
        <v>65</v>
      </c>
      <c r="B31" s="90"/>
      <c r="C31" s="90"/>
      <c r="E31" s="13" t="s">
        <v>13</v>
      </c>
      <c r="F31" s="13">
        <v>279</v>
      </c>
      <c r="G31" s="13">
        <v>279</v>
      </c>
    </row>
    <row r="32" spans="1:7" ht="12.75">
      <c r="A32" s="89" t="s">
        <v>74</v>
      </c>
      <c r="B32" s="90"/>
      <c r="C32" s="90"/>
      <c r="E32" t="s">
        <v>32</v>
      </c>
      <c r="F32" s="1">
        <v>20607986</v>
      </c>
      <c r="G32" s="1">
        <v>20607986</v>
      </c>
    </row>
    <row r="33" spans="1:7" ht="12.75">
      <c r="A33" s="91"/>
      <c r="B33" s="90"/>
      <c r="C33" s="90"/>
      <c r="E33" t="s">
        <v>33</v>
      </c>
      <c r="F33" s="1">
        <v>12190814</v>
      </c>
      <c r="G33" s="1">
        <v>12190814</v>
      </c>
    </row>
    <row r="34" spans="1:7" ht="12.75">
      <c r="A34" s="91" t="s">
        <v>54</v>
      </c>
      <c r="B34" s="90">
        <f>-(F74*F46+F49*F73)</f>
        <v>-160200000</v>
      </c>
      <c r="C34" s="90">
        <f>-(G74*G46+G49*G73)</f>
        <v>-139710000</v>
      </c>
      <c r="E34" s="13" t="s">
        <v>34</v>
      </c>
      <c r="F34" s="15">
        <f>(40000000+F31*180000)</f>
        <v>90220000</v>
      </c>
      <c r="G34" s="15">
        <f>(40000000+G31*180000)</f>
        <v>90220000</v>
      </c>
    </row>
    <row r="35" spans="1:7" ht="12.75">
      <c r="A35" s="91" t="s">
        <v>75</v>
      </c>
      <c r="B35" s="90">
        <f>F25*F26*F64%</f>
        <v>9750000000</v>
      </c>
      <c r="C35" s="90">
        <f>G25*G26*G64%</f>
        <v>19500000000</v>
      </c>
      <c r="E35" t="s">
        <v>35</v>
      </c>
      <c r="F35" s="1">
        <v>380900000</v>
      </c>
      <c r="G35" s="1">
        <v>380900000</v>
      </c>
    </row>
    <row r="36" spans="1:7" ht="13.5" thickBot="1">
      <c r="A36" s="97" t="s">
        <v>76</v>
      </c>
      <c r="B36" s="98">
        <f>SUM(B34:B35)</f>
        <v>9589800000</v>
      </c>
      <c r="C36" s="98">
        <f>SUM(C34:C35)</f>
        <v>19360290000</v>
      </c>
      <c r="E36" t="s">
        <v>70</v>
      </c>
      <c r="F36" s="1">
        <v>13000000</v>
      </c>
      <c r="G36" s="1">
        <v>13000000</v>
      </c>
    </row>
    <row r="37" spans="1:7" ht="12.75">
      <c r="A37" s="62" t="s">
        <v>63</v>
      </c>
      <c r="B37" s="63"/>
      <c r="C37" s="63"/>
      <c r="E37" s="13" t="s">
        <v>71</v>
      </c>
      <c r="F37" s="14">
        <v>65000000</v>
      </c>
      <c r="G37" s="14">
        <v>65000000</v>
      </c>
    </row>
    <row r="38" spans="1:7" ht="13.5" thickBot="1">
      <c r="A38" s="62"/>
      <c r="B38" s="63"/>
      <c r="C38" s="63"/>
      <c r="E38" t="s">
        <v>72</v>
      </c>
      <c r="F38" s="1">
        <v>2500000</v>
      </c>
      <c r="G38" s="1">
        <v>2500000</v>
      </c>
    </row>
    <row r="39" spans="1:7" ht="12.75">
      <c r="A39" s="87" t="s">
        <v>87</v>
      </c>
      <c r="B39" s="88"/>
      <c r="C39" s="88"/>
      <c r="E39" t="s">
        <v>37</v>
      </c>
      <c r="F39" s="8">
        <f>SUM(F36:F38)</f>
        <v>80500000</v>
      </c>
      <c r="G39" s="8">
        <f>SUM(G36:G38)</f>
        <v>80500000</v>
      </c>
    </row>
    <row r="40" spans="1:7" ht="12.75">
      <c r="A40" s="89" t="s">
        <v>64</v>
      </c>
      <c r="B40" s="90"/>
      <c r="C40" s="90"/>
      <c r="E40" s="13" t="s">
        <v>43</v>
      </c>
      <c r="F40" s="14">
        <v>39900000</v>
      </c>
      <c r="G40" s="14">
        <v>39900000</v>
      </c>
    </row>
    <row r="41" spans="1:7" ht="12.75">
      <c r="A41" s="91"/>
      <c r="B41" s="90"/>
      <c r="C41" s="90"/>
      <c r="E41" t="s">
        <v>108</v>
      </c>
      <c r="F41" s="1">
        <v>3000000</v>
      </c>
      <c r="G41" s="1">
        <v>3000000</v>
      </c>
    </row>
    <row r="42" spans="1:5" ht="12.75">
      <c r="A42" s="91" t="s">
        <v>110</v>
      </c>
      <c r="B42" s="92">
        <f>(F40+F41)*F69%</f>
        <v>7412201.646511735</v>
      </c>
      <c r="C42" s="92">
        <f>(G40+G41)*G69%</f>
        <v>7412201.646511735</v>
      </c>
      <c r="E42" s="10"/>
    </row>
    <row r="43" spans="1:5" ht="12.75">
      <c r="A43" s="91" t="s">
        <v>84</v>
      </c>
      <c r="B43" s="90">
        <f>F21*F65%*F58</f>
        <v>137169486.6</v>
      </c>
      <c r="C43" s="90">
        <f>G21*G65%*G58</f>
        <v>2743389732</v>
      </c>
      <c r="E43" s="10"/>
    </row>
    <row r="44" spans="1:5" ht="12.75">
      <c r="A44" s="91" t="s">
        <v>85</v>
      </c>
      <c r="B44" s="90">
        <f>-(F81*F82*F83)</f>
        <v>-79850686.825</v>
      </c>
      <c r="C44" s="90">
        <f>-(G81*G82*G83)</f>
        <v>-114072409.75</v>
      </c>
      <c r="E44" s="2" t="s">
        <v>25</v>
      </c>
    </row>
    <row r="45" spans="1:7" ht="12.75">
      <c r="A45" s="93" t="s">
        <v>86</v>
      </c>
      <c r="B45" s="94">
        <f>SUM(B42:B44)</f>
        <v>64731001.421511725</v>
      </c>
      <c r="C45" s="94">
        <f>SUM(C42:C44)</f>
        <v>2636729523.8965116</v>
      </c>
      <c r="E45" t="s">
        <v>15</v>
      </c>
      <c r="F45">
        <v>100</v>
      </c>
      <c r="G45">
        <v>100</v>
      </c>
    </row>
    <row r="46" spans="1:7" ht="12.75">
      <c r="A46" s="93" t="s">
        <v>120</v>
      </c>
      <c r="B46" s="95">
        <f>-B45/B34/1%</f>
        <v>40.40636792853416</v>
      </c>
      <c r="C46" s="95">
        <f>-C45/C34/1%</f>
        <v>1887.287612838388</v>
      </c>
      <c r="E46" t="s">
        <v>135</v>
      </c>
      <c r="F46" s="1">
        <v>1200000</v>
      </c>
      <c r="G46" s="1">
        <v>1000000</v>
      </c>
    </row>
    <row r="47" spans="1:7" ht="12.75">
      <c r="A47" s="93" t="s">
        <v>121</v>
      </c>
      <c r="B47" s="95">
        <f>1/B46%</f>
        <v>2.474857432790489</v>
      </c>
      <c r="C47" s="95">
        <f>1/C46%</f>
        <v>0.0529860946046294</v>
      </c>
      <c r="E47" t="s">
        <v>142</v>
      </c>
      <c r="F47" s="1">
        <v>10000</v>
      </c>
      <c r="G47" s="1">
        <v>10000</v>
      </c>
    </row>
    <row r="48" spans="1:7" ht="12.75">
      <c r="A48" s="91"/>
      <c r="B48" s="90"/>
      <c r="C48" s="90"/>
      <c r="E48" t="s">
        <v>143</v>
      </c>
      <c r="F48" s="1">
        <v>2</v>
      </c>
      <c r="G48" s="1">
        <v>3</v>
      </c>
    </row>
    <row r="49" spans="1:7" ht="12.75">
      <c r="A49" s="89" t="s">
        <v>87</v>
      </c>
      <c r="B49" s="90"/>
      <c r="C49" s="90"/>
      <c r="E49" t="s">
        <v>29</v>
      </c>
      <c r="F49" s="1">
        <v>3000</v>
      </c>
      <c r="G49" s="1">
        <v>3000</v>
      </c>
    </row>
    <row r="50" spans="1:7" ht="12.75">
      <c r="A50" s="89" t="s">
        <v>74</v>
      </c>
      <c r="B50" s="90"/>
      <c r="C50" s="90"/>
      <c r="E50" t="s">
        <v>59</v>
      </c>
      <c r="F50">
        <v>0.01</v>
      </c>
      <c r="G50">
        <v>0.01</v>
      </c>
    </row>
    <row r="51" spans="1:3" ht="12.75">
      <c r="A51" s="91"/>
      <c r="B51" s="90"/>
      <c r="C51" s="90"/>
    </row>
    <row r="52" spans="1:5" ht="12.75">
      <c r="A52" s="91" t="s">
        <v>88</v>
      </c>
      <c r="B52" s="92">
        <f>F28*F29*2*F26*F64%</f>
        <v>6365000000</v>
      </c>
      <c r="C52" s="92">
        <f>G28*G29*2*G26*G64%</f>
        <v>12730000000</v>
      </c>
      <c r="E52" s="2" t="s">
        <v>44</v>
      </c>
    </row>
    <row r="53" spans="1:7" ht="12.75">
      <c r="A53" s="91" t="s">
        <v>97</v>
      </c>
      <c r="B53" s="90">
        <f>F21*F65%*F7</f>
        <v>22695150</v>
      </c>
      <c r="C53" s="90">
        <f>G21*G65%*G7</f>
        <v>453903000</v>
      </c>
      <c r="E53" t="s">
        <v>18</v>
      </c>
      <c r="F53">
        <v>819</v>
      </c>
      <c r="G53">
        <v>819</v>
      </c>
    </row>
    <row r="54" spans="1:7" ht="12.75">
      <c r="A54" s="91" t="s">
        <v>111</v>
      </c>
      <c r="B54" s="90">
        <f>-(F74*F46+F49*F73)</f>
        <v>-160200000</v>
      </c>
      <c r="C54" s="90">
        <f>-(G74*G46+G49*G73)</f>
        <v>-139710000</v>
      </c>
      <c r="E54" t="s">
        <v>19</v>
      </c>
      <c r="F54">
        <v>662</v>
      </c>
      <c r="G54">
        <v>662</v>
      </c>
    </row>
    <row r="55" spans="1:7" ht="13.5" thickBot="1">
      <c r="A55" s="97" t="s">
        <v>92</v>
      </c>
      <c r="B55" s="99">
        <f>SUM(B52:B54)</f>
        <v>6227495150</v>
      </c>
      <c r="C55" s="99">
        <f>SUM(C52:C54)</f>
        <v>13044193000</v>
      </c>
      <c r="E55" t="s">
        <v>23</v>
      </c>
      <c r="F55">
        <v>1279</v>
      </c>
      <c r="G55">
        <v>1279</v>
      </c>
    </row>
    <row r="56" spans="1:7" ht="12.75">
      <c r="A56" s="62"/>
      <c r="B56" s="63"/>
      <c r="C56" s="63"/>
      <c r="E56" t="s">
        <v>20</v>
      </c>
      <c r="F56">
        <v>534</v>
      </c>
      <c r="G56">
        <v>534</v>
      </c>
    </row>
    <row r="57" spans="1:7" ht="12.75">
      <c r="A57" s="64" t="s">
        <v>127</v>
      </c>
      <c r="B57" s="80">
        <f>B45+B27</f>
        <v>460723094.0815117</v>
      </c>
      <c r="C57" s="80">
        <f>C45+C27</f>
        <v>3093548550.6715117</v>
      </c>
      <c r="E57" t="s">
        <v>24</v>
      </c>
      <c r="F57">
        <v>2750</v>
      </c>
      <c r="G57">
        <v>2750</v>
      </c>
    </row>
    <row r="58" spans="1:7" ht="12.75">
      <c r="A58" s="46" t="s">
        <v>130</v>
      </c>
      <c r="B58" s="81">
        <f>B55+B36</f>
        <v>15817295150</v>
      </c>
      <c r="C58" s="81">
        <f>C55+C36</f>
        <v>32404483000</v>
      </c>
      <c r="E58" s="5" t="s">
        <v>21</v>
      </c>
      <c r="F58" s="7">
        <f>SUM(F53:F57)</f>
        <v>6044</v>
      </c>
      <c r="G58" s="7">
        <f>SUM(G53:G57)</f>
        <v>6044</v>
      </c>
    </row>
    <row r="59" spans="1:7" ht="12.75">
      <c r="A59" s="71"/>
      <c r="B59" s="72"/>
      <c r="C59" s="72"/>
      <c r="G59" s="1"/>
    </row>
    <row r="60" spans="1:7" ht="12.75">
      <c r="A60" s="71" t="s">
        <v>124</v>
      </c>
      <c r="B60" s="72"/>
      <c r="C60" s="72"/>
      <c r="E60" s="2" t="s">
        <v>36</v>
      </c>
      <c r="F60" s="1"/>
      <c r="G60" s="1"/>
    </row>
    <row r="61" spans="1:7" ht="12.75">
      <c r="A61" s="64" t="s">
        <v>129</v>
      </c>
      <c r="B61" s="82">
        <f>(F8-(F6-F82)/F14-F82/F45)*F81-F84*F81*2/F9*365</f>
        <v>21103395.80375</v>
      </c>
      <c r="C61" s="82">
        <f>(G8-(G6-G82)/G14-G82/G45)*G81-G84*G81*2/G9*365</f>
        <v>35395997.731249996</v>
      </c>
      <c r="E61" t="s">
        <v>69</v>
      </c>
      <c r="F61" s="3">
        <v>40</v>
      </c>
      <c r="G61">
        <v>100</v>
      </c>
    </row>
    <row r="62" spans="1:7" ht="12.75">
      <c r="A62" s="71"/>
      <c r="B62" s="72"/>
      <c r="C62" s="73"/>
      <c r="E62" t="s">
        <v>105</v>
      </c>
      <c r="F62" s="3">
        <v>90</v>
      </c>
      <c r="G62">
        <v>100</v>
      </c>
    </row>
    <row r="63" spans="1:7" ht="12.75">
      <c r="A63" s="71"/>
      <c r="B63" s="72"/>
      <c r="C63" s="73"/>
      <c r="E63" s="10" t="s">
        <v>38</v>
      </c>
      <c r="F63" s="20">
        <v>30</v>
      </c>
      <c r="G63">
        <v>100</v>
      </c>
    </row>
    <row r="64" spans="1:7" ht="12.75">
      <c r="A64" s="65" t="s">
        <v>122</v>
      </c>
      <c r="B64" s="66"/>
      <c r="C64" s="79">
        <f>((B55+B45*30)+(B36+B27*30))/1000000</f>
        <v>29638.98797244535</v>
      </c>
      <c r="D64" s="79">
        <f>((C55+C45*30)+(C36+C27*30))/1000000</f>
        <v>125210.93952014534</v>
      </c>
      <c r="E64" t="s">
        <v>39</v>
      </c>
      <c r="F64" s="1">
        <v>50</v>
      </c>
      <c r="G64">
        <v>100</v>
      </c>
    </row>
    <row r="65" spans="1:7" ht="12.75">
      <c r="A65" s="65" t="s">
        <v>123</v>
      </c>
      <c r="B65" s="66"/>
      <c r="C65" s="79">
        <f>-C64/B34/1%*1000000</f>
        <v>18501.240931613826</v>
      </c>
      <c r="D65" s="79">
        <f>-D64/C34/1%*1000000</f>
        <v>89622.03100719015</v>
      </c>
      <c r="E65" t="s">
        <v>40</v>
      </c>
      <c r="F65" s="1">
        <v>5</v>
      </c>
      <c r="G65">
        <v>100</v>
      </c>
    </row>
    <row r="66" spans="1:7" ht="12.75">
      <c r="A66" s="76" t="s">
        <v>131</v>
      </c>
      <c r="B66" s="83"/>
      <c r="C66" s="84">
        <f>B61*30</f>
        <v>633101874.1125001</v>
      </c>
      <c r="D66" s="84">
        <f>C61*30</f>
        <v>1061879931.9374999</v>
      </c>
      <c r="E66" s="10" t="s">
        <v>41</v>
      </c>
      <c r="F66" s="17">
        <v>50</v>
      </c>
      <c r="G66" s="17">
        <v>50</v>
      </c>
    </row>
    <row r="67" spans="1:7" ht="13.5" thickBot="1">
      <c r="A67" s="52"/>
      <c r="B67" s="67"/>
      <c r="C67" s="75"/>
      <c r="E67" s="10" t="s">
        <v>42</v>
      </c>
      <c r="F67" s="17">
        <v>50</v>
      </c>
      <c r="G67" s="17">
        <v>50</v>
      </c>
    </row>
    <row r="68" spans="1:7" ht="13.5" thickBot="1">
      <c r="A68" s="31"/>
      <c r="B68" s="32"/>
      <c r="C68" s="33"/>
      <c r="E68" t="s">
        <v>101</v>
      </c>
      <c r="F68" s="4">
        <v>70</v>
      </c>
      <c r="G68">
        <v>100</v>
      </c>
    </row>
    <row r="69" spans="1:7" ht="13.5" thickBot="1">
      <c r="A69" s="26" t="s">
        <v>115</v>
      </c>
      <c r="B69" s="27"/>
      <c r="C69" s="34"/>
      <c r="D69" s="11"/>
      <c r="E69" t="s">
        <v>106</v>
      </c>
      <c r="F69" s="16">
        <f>F81/F16/(1%)</f>
        <v>17.27785931587817</v>
      </c>
      <c r="G69" s="16">
        <f>G81/G16/1%</f>
        <v>17.27785931587817</v>
      </c>
    </row>
    <row r="70" spans="1:7" ht="12.75">
      <c r="A70" s="35"/>
      <c r="B70" s="36"/>
      <c r="C70" s="34"/>
      <c r="E70" t="s">
        <v>112</v>
      </c>
      <c r="F70" s="24">
        <v>70</v>
      </c>
      <c r="G70" s="24">
        <v>100</v>
      </c>
    </row>
    <row r="71" spans="1:3" ht="12.75">
      <c r="A71" s="74" t="s">
        <v>93</v>
      </c>
      <c r="B71" s="36"/>
      <c r="C71" s="34"/>
    </row>
    <row r="72" spans="1:5" ht="12.75">
      <c r="A72" s="74" t="s">
        <v>94</v>
      </c>
      <c r="B72" s="36"/>
      <c r="C72" s="34"/>
      <c r="E72" s="2" t="s">
        <v>30</v>
      </c>
    </row>
    <row r="73" spans="1:7" ht="12.75">
      <c r="A73" s="35"/>
      <c r="B73" s="36"/>
      <c r="C73" s="34"/>
      <c r="E73" t="s">
        <v>31</v>
      </c>
      <c r="F73" s="1">
        <v>15000</v>
      </c>
      <c r="G73" s="1">
        <v>15000</v>
      </c>
    </row>
    <row r="74" spans="1:7" ht="12.75">
      <c r="A74" s="35" t="s">
        <v>110</v>
      </c>
      <c r="B74" s="36">
        <f>B42/F16</f>
        <v>9.542792242008174</v>
      </c>
      <c r="C74" s="36">
        <f>C42/G16</f>
        <v>9.542792242008174</v>
      </c>
      <c r="E74" t="s">
        <v>47</v>
      </c>
      <c r="F74" s="8">
        <f>F13*2</f>
        <v>96</v>
      </c>
      <c r="G74" s="8">
        <f>G13*2</f>
        <v>94.71</v>
      </c>
    </row>
    <row r="75" spans="1:7" ht="12.75">
      <c r="A75" s="35" t="s">
        <v>99</v>
      </c>
      <c r="B75" s="36">
        <f>B43/F16</f>
        <v>176.59799004291048</v>
      </c>
      <c r="C75" s="36">
        <f>C43/G16</f>
        <v>3531.9598008582097</v>
      </c>
      <c r="E75" t="s">
        <v>138</v>
      </c>
      <c r="F75">
        <f>F74*4*4</f>
        <v>1536</v>
      </c>
      <c r="G75">
        <f>G74*4*4</f>
        <v>1515.36</v>
      </c>
    </row>
    <row r="76" spans="1:7" ht="12.75">
      <c r="A76" s="35" t="s">
        <v>85</v>
      </c>
      <c r="B76" s="39">
        <f>B44/F16</f>
        <v>-102.80326292947512</v>
      </c>
      <c r="C76" s="39">
        <f>C44/G16</f>
        <v>-146.86180418496446</v>
      </c>
      <c r="E76" t="s">
        <v>134</v>
      </c>
      <c r="F76" s="86">
        <v>1</v>
      </c>
      <c r="G76" s="86">
        <v>0</v>
      </c>
    </row>
    <row r="77" spans="1:7" ht="12.75">
      <c r="A77" s="40" t="s">
        <v>95</v>
      </c>
      <c r="B77" s="41">
        <f>SUM(B74:B76)</f>
        <v>83.33751935544353</v>
      </c>
      <c r="C77" s="41">
        <f>SUM(C74:C76)</f>
        <v>3394.6407889152533</v>
      </c>
      <c r="E77" t="s">
        <v>107</v>
      </c>
      <c r="F77" s="8">
        <f>F76/100*F81*F82</f>
        <v>7985068.6825</v>
      </c>
      <c r="G77" s="8">
        <f>G76/100*G81*G82</f>
        <v>0</v>
      </c>
    </row>
    <row r="78" spans="1:7" ht="12.75">
      <c r="A78" s="40" t="s">
        <v>80</v>
      </c>
      <c r="B78" s="41">
        <f>-B77/B85/1%</f>
        <v>40.40636792853415</v>
      </c>
      <c r="C78" s="41">
        <f>-C77/C85/1%</f>
        <v>1887.287612838388</v>
      </c>
      <c r="E78" t="s">
        <v>27</v>
      </c>
      <c r="F78" s="8">
        <f>F13^0.5</f>
        <v>6.928203230275509</v>
      </c>
      <c r="G78" s="8">
        <f>G13^0.5</f>
        <v>6.881496930174422</v>
      </c>
    </row>
    <row r="79" spans="1:7" ht="12.75">
      <c r="A79" s="40" t="s">
        <v>82</v>
      </c>
      <c r="B79" s="41">
        <f>1/B78%</f>
        <v>2.4748574327904893</v>
      </c>
      <c r="C79" s="41">
        <f>1/C78%</f>
        <v>0.0529860946046294</v>
      </c>
      <c r="E79" t="s">
        <v>28</v>
      </c>
      <c r="F79" s="8">
        <f>F78*2</f>
        <v>13.856406460551018</v>
      </c>
      <c r="G79" s="8">
        <f>G78*2</f>
        <v>13.762993860348844</v>
      </c>
    </row>
    <row r="80" spans="1:7" ht="12.75">
      <c r="A80" s="35"/>
      <c r="B80" s="36"/>
      <c r="C80" s="36"/>
      <c r="E80" t="s">
        <v>49</v>
      </c>
      <c r="F80" s="7">
        <f>F79/3</f>
        <v>4.618802153517006</v>
      </c>
      <c r="G80" s="7">
        <f>(1/G79)*(G79*(G79+1)/2)-2</f>
        <v>5.381496930174422</v>
      </c>
    </row>
    <row r="81" spans="1:7" ht="12.75">
      <c r="A81" s="74" t="s">
        <v>93</v>
      </c>
      <c r="B81" s="36"/>
      <c r="C81" s="36"/>
      <c r="E81" t="s">
        <v>53</v>
      </c>
      <c r="F81" s="7">
        <f>(F17-F18)*(F24+F23/2)</f>
        <v>134202.835</v>
      </c>
      <c r="G81" s="7">
        <f>(G17-G18)*(G24+G23/2)</f>
        <v>134202.835</v>
      </c>
    </row>
    <row r="82" spans="1:7" ht="12.75">
      <c r="A82" s="74" t="s">
        <v>74</v>
      </c>
      <c r="B82" s="36"/>
      <c r="C82" s="36"/>
      <c r="E82" t="s">
        <v>109</v>
      </c>
      <c r="F82" s="7">
        <f>F6*F68%</f>
        <v>5950</v>
      </c>
      <c r="G82" s="7">
        <f>G6*G68%</f>
        <v>8500</v>
      </c>
    </row>
    <row r="83" spans="1:7" ht="12.75">
      <c r="A83" s="35"/>
      <c r="B83" s="36"/>
      <c r="C83" s="36"/>
      <c r="E83" t="s">
        <v>56</v>
      </c>
      <c r="F83">
        <v>0.1</v>
      </c>
      <c r="G83">
        <v>0.1</v>
      </c>
    </row>
    <row r="84" spans="1:7" ht="12.75">
      <c r="A84" s="35" t="s">
        <v>89</v>
      </c>
      <c r="B84" s="36">
        <f>B53/F16</f>
        <v>29.218727670898495</v>
      </c>
      <c r="C84" s="36">
        <f>C53/G16</f>
        <v>584.3745534179699</v>
      </c>
      <c r="E84" t="s">
        <v>132</v>
      </c>
      <c r="F84">
        <v>0.25</v>
      </c>
      <c r="G84">
        <v>0.25</v>
      </c>
    </row>
    <row r="85" spans="1:3" ht="12.75">
      <c r="A85" s="35" t="s">
        <v>111</v>
      </c>
      <c r="B85" s="39">
        <f>B54/F16</f>
        <v>-206.2484792071407</v>
      </c>
      <c r="C85" s="39">
        <f>C54/G16</f>
        <v>-179.8687579901974</v>
      </c>
    </row>
    <row r="86" spans="1:3" ht="12.75">
      <c r="A86" s="40" t="s">
        <v>96</v>
      </c>
      <c r="B86" s="44">
        <f>SUM(B84:B85)</f>
        <v>-177.0297515362422</v>
      </c>
      <c r="C86" s="44">
        <f>SUM(C84:C85)</f>
        <v>404.50579542777245</v>
      </c>
    </row>
    <row r="87" spans="1:7" ht="12.75">
      <c r="A87" s="35"/>
      <c r="B87" s="36"/>
      <c r="C87" s="34"/>
      <c r="E87" s="36" t="s">
        <v>139</v>
      </c>
      <c r="F87" s="85">
        <f>F73*F45/F80*F70%</f>
        <v>227331.66849341514</v>
      </c>
      <c r="G87" s="85">
        <f>G73*G45/G80*G70%</f>
        <v>278732.85434567416</v>
      </c>
    </row>
    <row r="88" spans="1:7" ht="12.75">
      <c r="A88" s="46" t="s">
        <v>113</v>
      </c>
      <c r="B88" s="47"/>
      <c r="C88" s="48">
        <f>B86+B77*30</f>
        <v>2323.095829127064</v>
      </c>
      <c r="D88" s="48">
        <f>C86+C77*30</f>
        <v>102243.72946288537</v>
      </c>
      <c r="E88" s="36" t="s">
        <v>136</v>
      </c>
      <c r="F88" s="85">
        <f>F87/F16/1%</f>
        <v>29.267672223713316</v>
      </c>
      <c r="G88" s="85">
        <f>G87/G16/1%</f>
        <v>35.88528546433255</v>
      </c>
    </row>
    <row r="89" spans="1:7" ht="12.75">
      <c r="A89" s="46" t="s">
        <v>114</v>
      </c>
      <c r="B89" s="47"/>
      <c r="C89" s="48">
        <f>-C88/B85/1%</f>
        <v>1126.3577981556502</v>
      </c>
      <c r="D89" s="48">
        <f>-D88/C85/1%</f>
        <v>56843.517798937326</v>
      </c>
      <c r="E89" s="49" t="s">
        <v>140</v>
      </c>
      <c r="F89" s="7">
        <f>F75*F48*60</f>
        <v>184320</v>
      </c>
      <c r="G89" s="7">
        <f>G75*G48*60</f>
        <v>272764.8</v>
      </c>
    </row>
    <row r="90" spans="1:7" ht="13.5" thickBot="1">
      <c r="A90" s="52"/>
      <c r="B90" s="53"/>
      <c r="C90" s="54"/>
      <c r="E90" s="49" t="s">
        <v>136</v>
      </c>
      <c r="F90" s="85">
        <f>F89/F16/1%</f>
        <v>23.730162102035063</v>
      </c>
      <c r="G90" s="85">
        <f>G89/G16/1%</f>
        <v>35.11693207318345</v>
      </c>
    </row>
    <row r="91" spans="1:7" ht="13.5" thickBot="1">
      <c r="A91" s="31"/>
      <c r="B91" s="32"/>
      <c r="C91" s="33"/>
      <c r="E91" s="77" t="s">
        <v>141</v>
      </c>
      <c r="F91" s="100">
        <f>MIN(F87,F89)</f>
        <v>184320</v>
      </c>
      <c r="G91" s="100">
        <f>MIN(G87,G89)</f>
        <v>272764.8</v>
      </c>
    </row>
    <row r="92" spans="1:7" ht="13.5" thickBot="1">
      <c r="A92" s="26" t="s">
        <v>98</v>
      </c>
      <c r="B92" s="27"/>
      <c r="C92" s="34"/>
      <c r="E92" s="77" t="s">
        <v>136</v>
      </c>
      <c r="F92" s="100">
        <f>F91/F16/1%</f>
        <v>23.730162102035063</v>
      </c>
      <c r="G92" s="100">
        <f>G91/G16/1%</f>
        <v>35.11693207318345</v>
      </c>
    </row>
    <row r="93" spans="1:3" ht="12.75">
      <c r="A93" s="35"/>
      <c r="B93" s="36"/>
      <c r="C93" s="34"/>
    </row>
    <row r="94" spans="1:3" ht="12.75">
      <c r="A94" s="74" t="s">
        <v>93</v>
      </c>
      <c r="B94" s="36"/>
      <c r="C94" s="34"/>
    </row>
    <row r="95" spans="1:3" ht="12.75">
      <c r="A95" s="74" t="s">
        <v>94</v>
      </c>
      <c r="B95" s="36"/>
      <c r="C95" s="34"/>
    </row>
    <row r="96" spans="1:3" ht="12.75">
      <c r="A96" s="35"/>
      <c r="B96" s="36"/>
      <c r="C96" s="34"/>
    </row>
    <row r="97" spans="1:3" ht="12.75">
      <c r="A97" s="35" t="s">
        <v>110</v>
      </c>
      <c r="B97" s="36">
        <f>(F40+F41)*F69%/F81</f>
        <v>55.2313343195152</v>
      </c>
      <c r="C97" s="36">
        <f>(G40+G41)*G69%/G81</f>
        <v>55.2313343195152</v>
      </c>
    </row>
    <row r="98" spans="1:3" ht="12.75">
      <c r="A98" s="35" t="s">
        <v>99</v>
      </c>
      <c r="B98" s="36">
        <f>B43/F16/(F69%)</f>
        <v>1022.1057297336527</v>
      </c>
      <c r="C98" s="36">
        <f>C43/G16/(G69%)</f>
        <v>20442.114594673054</v>
      </c>
    </row>
    <row r="99" spans="1:3" ht="12.75">
      <c r="A99" s="37" t="s">
        <v>116</v>
      </c>
      <c r="B99" s="38">
        <f>F58</f>
        <v>6044</v>
      </c>
      <c r="C99" s="38">
        <f>G58</f>
        <v>6044</v>
      </c>
    </row>
    <row r="100" spans="1:3" ht="12.75">
      <c r="A100" s="35" t="s">
        <v>85</v>
      </c>
      <c r="B100" s="39">
        <f>-(F82*F83)</f>
        <v>-595</v>
      </c>
      <c r="C100" s="39">
        <f>-(G82*G83)</f>
        <v>-850</v>
      </c>
    </row>
    <row r="101" spans="1:3" ht="12.75">
      <c r="A101" s="40" t="s">
        <v>95</v>
      </c>
      <c r="B101" s="41">
        <f>SUM(B100,B97:B98)</f>
        <v>482.33706405316786</v>
      </c>
      <c r="C101" s="41">
        <f>SUM(C100,C97:C98)</f>
        <v>19647.34592899257</v>
      </c>
    </row>
    <row r="102" spans="1:3" ht="12.75">
      <c r="A102" s="42" t="s">
        <v>116</v>
      </c>
      <c r="B102" s="38">
        <f>SUM(B100,B99,B97)</f>
        <v>5504.231334319516</v>
      </c>
      <c r="C102" s="38">
        <f>SUM(C100,C99,C97)</f>
        <v>5249.231334319516</v>
      </c>
    </row>
    <row r="103" spans="1:3" ht="12.75">
      <c r="A103" s="40" t="s">
        <v>80</v>
      </c>
      <c r="B103" s="41">
        <f>-B101/B113/1%</f>
        <v>233.86211908440026</v>
      </c>
      <c r="C103" s="41">
        <f>-C101/C113/1%</f>
        <v>10923.156499509116</v>
      </c>
    </row>
    <row r="104" spans="1:3" ht="12.75">
      <c r="A104" s="42" t="s">
        <v>117</v>
      </c>
      <c r="B104" s="38">
        <f>-B102/B113/1%</f>
        <v>2668.7379007490636</v>
      </c>
      <c r="C104" s="38">
        <f>-C102/C113/1%</f>
        <v>2918.3674769164704</v>
      </c>
    </row>
    <row r="105" spans="1:3" ht="12.75">
      <c r="A105" s="40" t="s">
        <v>83</v>
      </c>
      <c r="B105" s="41">
        <f>12/B103%</f>
        <v>5.131228626073139</v>
      </c>
      <c r="C105" s="41">
        <f>12/C103%</f>
        <v>0.10985835459319178</v>
      </c>
    </row>
    <row r="106" spans="1:3" ht="12.75">
      <c r="A106" s="42" t="s">
        <v>118</v>
      </c>
      <c r="B106" s="38">
        <f>12*30/B104%</f>
        <v>13.489522515454025</v>
      </c>
      <c r="C106" s="38">
        <f>12*30/C104%</f>
        <v>12.335663786260866</v>
      </c>
    </row>
    <row r="107" spans="1:3" ht="12.75">
      <c r="A107" s="35"/>
      <c r="B107" s="36"/>
      <c r="C107" s="36"/>
    </row>
    <row r="108" spans="1:3" ht="12.75">
      <c r="A108" s="74" t="s">
        <v>93</v>
      </c>
      <c r="B108" s="36"/>
      <c r="C108" s="36"/>
    </row>
    <row r="109" spans="1:3" ht="12.75">
      <c r="A109" s="74" t="s">
        <v>74</v>
      </c>
      <c r="B109" s="36"/>
      <c r="C109" s="36"/>
    </row>
    <row r="110" spans="1:3" ht="12.75">
      <c r="A110" s="35"/>
      <c r="B110" s="36"/>
      <c r="C110" s="36"/>
    </row>
    <row r="111" spans="1:3" ht="12.75">
      <c r="A111" s="35" t="s">
        <v>89</v>
      </c>
      <c r="B111" s="36">
        <f>B53/F81</f>
        <v>169.11080902277513</v>
      </c>
      <c r="C111" s="36">
        <f>C53/G81</f>
        <v>3382.2161804555026</v>
      </c>
    </row>
    <row r="112" spans="1:3" ht="12.75">
      <c r="A112" s="37" t="s">
        <v>116</v>
      </c>
      <c r="B112" s="43">
        <f>F7</f>
        <v>1000</v>
      </c>
      <c r="C112" s="43">
        <f>G7</f>
        <v>1000</v>
      </c>
    </row>
    <row r="113" spans="1:3" ht="12.75">
      <c r="A113" s="35" t="s">
        <v>111</v>
      </c>
      <c r="B113" s="39">
        <f>B54/F16</f>
        <v>-206.2484792071407</v>
      </c>
      <c r="C113" s="39">
        <f>C54/G16</f>
        <v>-179.8687579901974</v>
      </c>
    </row>
    <row r="114" spans="1:3" ht="12.75">
      <c r="A114" s="40" t="s">
        <v>96</v>
      </c>
      <c r="B114" s="44">
        <f>SUM(B113,B111)</f>
        <v>-37.13767018436556</v>
      </c>
      <c r="C114" s="44">
        <f>SUM(C113,C111)</f>
        <v>3202.347422465305</v>
      </c>
    </row>
    <row r="115" spans="1:3" ht="12.75">
      <c r="A115" s="42" t="s">
        <v>116</v>
      </c>
      <c r="B115" s="45">
        <f>SUM(B112:B113)</f>
        <v>793.7515207928593</v>
      </c>
      <c r="C115" s="45">
        <f>SUM(C112:C113)</f>
        <v>820.1312420098026</v>
      </c>
    </row>
    <row r="116" spans="1:3" ht="12.75">
      <c r="A116" s="42"/>
      <c r="B116" s="45"/>
      <c r="C116" s="34"/>
    </row>
    <row r="117" spans="1:3" ht="12.75">
      <c r="A117" s="71" t="s">
        <v>124</v>
      </c>
      <c r="B117" s="36"/>
      <c r="C117" s="51"/>
    </row>
    <row r="118" spans="1:4" ht="12.75">
      <c r="A118" s="64" t="s">
        <v>128</v>
      </c>
      <c r="B118" s="47"/>
      <c r="C118" s="70">
        <f>B61/F81</f>
        <v>157.25000000000003</v>
      </c>
      <c r="D118" s="70">
        <f>C61/G81</f>
        <v>263.75</v>
      </c>
    </row>
    <row r="119" spans="1:4" ht="12.75">
      <c r="A119" s="35"/>
      <c r="B119" s="36"/>
      <c r="C119" s="34"/>
      <c r="D119" s="34"/>
    </row>
    <row r="120" spans="1:4" ht="12.75">
      <c r="A120" s="76" t="s">
        <v>113</v>
      </c>
      <c r="B120" s="77"/>
      <c r="C120" s="78">
        <f>B114+B101*30</f>
        <v>14432.974251410671</v>
      </c>
      <c r="D120" s="78">
        <f>C114+C101*30</f>
        <v>592622.7252922425</v>
      </c>
    </row>
    <row r="121" spans="1:4" ht="12.75">
      <c r="A121" s="42" t="s">
        <v>116</v>
      </c>
      <c r="B121" s="49"/>
      <c r="C121" s="50">
        <f>B115+B102*30</f>
        <v>165920.69155037834</v>
      </c>
      <c r="D121" s="50">
        <f>C115+C102*30</f>
        <v>158297.07127159528</v>
      </c>
    </row>
    <row r="122" spans="1:4" ht="12.75">
      <c r="A122" s="76" t="s">
        <v>114</v>
      </c>
      <c r="B122" s="77"/>
      <c r="C122" s="78">
        <f>-C120/B113/1%</f>
        <v>6997.8572966423</v>
      </c>
      <c r="D122" s="78">
        <f>-D120/C113/1%</f>
        <v>329475.0750013738</v>
      </c>
    </row>
    <row r="123" spans="1:4" ht="12.75">
      <c r="A123" s="42" t="s">
        <v>117</v>
      </c>
      <c r="B123" s="36"/>
      <c r="C123" s="51">
        <f>-C121/B113/1%</f>
        <v>80446.989082397</v>
      </c>
      <c r="D123" s="51">
        <f>-D121/C113/1%</f>
        <v>88006.98522654071</v>
      </c>
    </row>
    <row r="124" spans="1:3" ht="12.75">
      <c r="A124" s="42"/>
      <c r="B124" s="36"/>
      <c r="C124" s="51"/>
    </row>
    <row r="125" spans="1:3" ht="13.5" thickBot="1">
      <c r="A125" s="52"/>
      <c r="B125" s="53"/>
      <c r="C125" s="54"/>
    </row>
    <row r="159" spans="1:7" s="25" customFormat="1" ht="12.75">
      <c r="A159"/>
      <c r="B159"/>
      <c r="C159"/>
      <c r="D159"/>
      <c r="E159"/>
      <c r="F159"/>
      <c r="G159"/>
    </row>
    <row r="160" ht="12.75">
      <c r="D160" s="25"/>
    </row>
    <row r="204" ht="12.75">
      <c r="G204" s="25"/>
    </row>
    <row r="205" spans="5:6" ht="12.75">
      <c r="E205" s="25"/>
      <c r="F205" s="2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</cp:lastModifiedBy>
  <dcterms:created xsi:type="dcterms:W3CDTF">1996-10-14T23:33:28Z</dcterms:created>
  <dcterms:modified xsi:type="dcterms:W3CDTF">2008-05-28T00:15:42Z</dcterms:modified>
  <cp:category/>
  <cp:version/>
  <cp:contentType/>
  <cp:contentStatus/>
</cp:coreProperties>
</file>